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780" yWindow="0" windowWidth="25600" windowHeight="16060" tabRatio="500"/>
  </bookViews>
  <sheets>
    <sheet name="RBF Analysis" sheetId="3" r:id="rId1"/>
    <sheet name="Traditional Loan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3" l="1"/>
  <c r="D4" i="3"/>
  <c r="D5" i="3"/>
  <c r="I6" i="3"/>
  <c r="D6" i="3"/>
  <c r="K2" i="3"/>
  <c r="I7" i="3"/>
  <c r="D7" i="3"/>
  <c r="I8" i="3"/>
  <c r="D8" i="3"/>
  <c r="I9" i="3"/>
  <c r="D9" i="3"/>
  <c r="I10" i="3"/>
  <c r="D10" i="3"/>
  <c r="I11" i="3"/>
  <c r="B11" i="3"/>
  <c r="D11" i="3"/>
  <c r="I12" i="3"/>
  <c r="B12" i="3"/>
  <c r="D12" i="3"/>
  <c r="I13" i="3"/>
  <c r="B13" i="3"/>
  <c r="D13" i="3"/>
  <c r="I14" i="3"/>
  <c r="B14" i="3"/>
  <c r="D14" i="3"/>
  <c r="I15" i="3"/>
  <c r="I5" i="3"/>
  <c r="I17" i="3"/>
  <c r="I16" i="3"/>
  <c r="G4" i="3"/>
  <c r="G5" i="3"/>
  <c r="L6" i="3"/>
  <c r="G6" i="3"/>
  <c r="L7" i="3"/>
  <c r="G7" i="3"/>
  <c r="L8" i="3"/>
  <c r="G8" i="3"/>
  <c r="L9" i="3"/>
  <c r="G9" i="3"/>
  <c r="L10" i="3"/>
  <c r="G10" i="3"/>
  <c r="L11" i="3"/>
  <c r="G11" i="3"/>
  <c r="L12" i="3"/>
  <c r="G12" i="3"/>
  <c r="L13" i="3"/>
  <c r="G13" i="3"/>
  <c r="L14" i="3"/>
  <c r="G14" i="3"/>
  <c r="L5" i="3"/>
  <c r="L16" i="3"/>
  <c r="F4" i="3"/>
  <c r="F5" i="3"/>
  <c r="F6" i="3"/>
  <c r="K7" i="3"/>
  <c r="F7" i="3"/>
  <c r="K8" i="3"/>
  <c r="F8" i="3"/>
  <c r="K9" i="3"/>
  <c r="F9" i="3"/>
  <c r="K10" i="3"/>
  <c r="F10" i="3"/>
  <c r="K11" i="3"/>
  <c r="F11" i="3"/>
  <c r="K12" i="3"/>
  <c r="F12" i="3"/>
  <c r="K13" i="3"/>
  <c r="F13" i="3"/>
  <c r="K14" i="3"/>
  <c r="F14" i="3"/>
  <c r="K5" i="3"/>
  <c r="K16" i="3"/>
  <c r="E4" i="3"/>
  <c r="E5" i="3"/>
  <c r="J6" i="3"/>
  <c r="E6" i="3"/>
  <c r="J7" i="3"/>
  <c r="E7" i="3"/>
  <c r="J8" i="3"/>
  <c r="E8" i="3"/>
  <c r="J9" i="3"/>
  <c r="E9" i="3"/>
  <c r="J10" i="3"/>
  <c r="E10" i="3"/>
  <c r="J11" i="3"/>
  <c r="E11" i="3"/>
  <c r="J12" i="3"/>
  <c r="E12" i="3"/>
  <c r="J13" i="3"/>
  <c r="E13" i="3"/>
  <c r="J14" i="3"/>
  <c r="E14" i="3"/>
  <c r="J5" i="3"/>
  <c r="J16" i="3"/>
  <c r="L15" i="3"/>
  <c r="K15" i="3"/>
  <c r="J15" i="3"/>
  <c r="C10" i="1"/>
  <c r="C11" i="1"/>
  <c r="B7" i="1"/>
  <c r="F11" i="1"/>
  <c r="G11" i="1"/>
  <c r="C12" i="1"/>
  <c r="D12" i="1"/>
  <c r="F12" i="1"/>
  <c r="G12" i="1"/>
  <c r="C13" i="1"/>
  <c r="D13" i="1"/>
  <c r="F13" i="1"/>
  <c r="G13" i="1"/>
  <c r="C14" i="1"/>
  <c r="D14" i="1"/>
  <c r="F14" i="1"/>
  <c r="G14" i="1"/>
  <c r="C15" i="1"/>
  <c r="D15" i="1"/>
  <c r="F15" i="1"/>
  <c r="G15" i="1"/>
  <c r="C16" i="1"/>
  <c r="D16" i="1"/>
  <c r="F16" i="1"/>
  <c r="G16" i="1"/>
  <c r="C17" i="1"/>
  <c r="D17" i="1"/>
  <c r="F17" i="1"/>
  <c r="G17" i="1"/>
  <c r="C18" i="1"/>
  <c r="D18" i="1"/>
  <c r="F18" i="1"/>
  <c r="G18" i="1"/>
  <c r="C19" i="1"/>
  <c r="D19" i="1"/>
  <c r="F19" i="1"/>
  <c r="G19" i="1"/>
  <c r="C20" i="1"/>
  <c r="D20" i="1"/>
  <c r="F20" i="1"/>
  <c r="G20" i="1"/>
  <c r="C21" i="1"/>
  <c r="D21" i="1"/>
  <c r="F21" i="1"/>
  <c r="G21" i="1"/>
  <c r="C22" i="1"/>
  <c r="D22" i="1"/>
  <c r="D11" i="1"/>
  <c r="D10" i="1"/>
  <c r="F26" i="1"/>
  <c r="B11" i="1"/>
  <c r="B12" i="1"/>
  <c r="B13" i="1"/>
  <c r="B14" i="1"/>
  <c r="B15" i="1"/>
  <c r="B16" i="1"/>
  <c r="B17" i="1"/>
  <c r="B18" i="1"/>
  <c r="B19" i="1"/>
  <c r="B20" i="1"/>
  <c r="B21" i="1"/>
  <c r="B22" i="1"/>
  <c r="L17" i="3"/>
  <c r="K17" i="3"/>
  <c r="J17" i="3"/>
  <c r="C14" i="3"/>
  <c r="C13" i="3"/>
  <c r="C12" i="3"/>
  <c r="C11" i="3"/>
  <c r="C10" i="3"/>
  <c r="C9" i="3"/>
  <c r="C8" i="3"/>
  <c r="C7" i="3"/>
  <c r="C6" i="3"/>
  <c r="F22" i="1"/>
  <c r="F24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F25" i="1"/>
  <c r="D24" i="1"/>
  <c r="G22" i="1"/>
</calcChain>
</file>

<file path=xl/sharedStrings.xml><?xml version="1.0" encoding="utf-8"?>
<sst xmlns="http://schemas.openxmlformats.org/spreadsheetml/2006/main" count="48" uniqueCount="47">
  <si>
    <t>Loan</t>
  </si>
  <si>
    <t>Interest</t>
  </si>
  <si>
    <t>Principal</t>
  </si>
  <si>
    <t>Start</t>
  </si>
  <si>
    <t>End</t>
  </si>
  <si>
    <t>Payment</t>
  </si>
  <si>
    <t>Total Payments</t>
  </si>
  <si>
    <t>Annual Payments</t>
  </si>
  <si>
    <t>Payment #</t>
  </si>
  <si>
    <t>Paid</t>
  </si>
  <si>
    <t>Date</t>
  </si>
  <si>
    <t>TOTAL</t>
  </si>
  <si>
    <t>total interest</t>
  </si>
  <si>
    <t>IRR</t>
  </si>
  <si>
    <t>Loan Repayment Schedule</t>
  </si>
  <si>
    <t>Year</t>
  </si>
  <si>
    <t>Revenues</t>
  </si>
  <si>
    <t>Growth</t>
  </si>
  <si>
    <t>Investment</t>
  </si>
  <si>
    <t>&lt;&lt; This model assumes an annual repayments,</t>
  </si>
  <si>
    <t>&gt;&gt; with the revenues from Year 1 being paid at the start of Year 2, etc.</t>
  </si>
  <si>
    <t>&lt;&lt; The (negative) in year one is there to compute the IRR at the bottom</t>
  </si>
  <si>
    <t>&lt;&lt; The actual total for the paybacks (should match Investment x Multiple)</t>
  </si>
  <si>
    <t>&lt;&lt; The IRR gets genrerated from the values</t>
  </si>
  <si>
    <t>&lt;&lt; Double check on the cash-on-cash multiple</t>
  </si>
  <si>
    <t>disbursement</t>
  </si>
  <si>
    <t>&lt;&lt; fill in the size of the loan</t>
  </si>
  <si>
    <t>&lt;&lt; fill in the interest rate</t>
  </si>
  <si>
    <t>&lt;&lt; fill in the number of payments per year</t>
  </si>
  <si>
    <t>&lt;&lt; fill in the total number of payment</t>
  </si>
  <si>
    <t>&lt;&lt; fill in the start date</t>
  </si>
  <si>
    <t>Each Payment</t>
  </si>
  <si>
    <t>&lt;&lt; the payment will be calcuated from those values</t>
  </si>
  <si>
    <t>&lt;&lt; the dates and values will be calculated</t>
  </si>
  <si>
    <t>&lt;&lt; the totals for the loan</t>
  </si>
  <si>
    <t>&lt;&lt; total interest percentage</t>
  </si>
  <si>
    <t>&lt;&lt; internal rate of return</t>
  </si>
  <si>
    <t>Multiple</t>
  </si>
  <si>
    <t>&lt;&lt; Fill in the investment amount in column K</t>
  </si>
  <si>
    <t>&lt;&lt; Fill in the expected investment multiple in column K</t>
  </si>
  <si>
    <t>Revenue-based analyzer</t>
  </si>
  <si>
    <t>&lt;&lt; Change the percentages if you want different values</t>
  </si>
  <si>
    <t>&lt;&lt; This is the total repayment.  If it is less than L2, then the deal doesn't pencil out</t>
  </si>
  <si>
    <t>&lt;&lt; IRR for the above cashflows.  IRR is time dependent.  Faster repayments = Higher IRR</t>
  </si>
  <si>
    <t>&lt;&lt; This is the multiple of the cashflows.  If it doesn't match K2, the deal doesn't pencil out</t>
  </si>
  <si>
    <t>^^ Annual revenue projections</t>
  </si>
  <si>
    <t>Computed Y/Y growth ^^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</si>
</sst>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m\ dd\ yyyy"/>
    <numFmt numFmtId="166" formatCode="&quot;$&quot;#,##0"/>
    <numFmt numFmtId="167" formatCode="0.0%"/>
    <numFmt numFmtId="168" formatCode="0.0\x"/>
    <numFmt numFmtId="169" formatCode="#.00\x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color theme="0"/>
      <name val="Calibri"/>
      <scheme val="minor"/>
    </font>
    <font>
      <sz val="12"/>
      <color theme="3"/>
      <name val="Calibri"/>
      <scheme val="minor"/>
    </font>
    <font>
      <sz val="10"/>
      <color theme="3"/>
      <name val="Calibri"/>
      <scheme val="minor"/>
    </font>
    <font>
      <sz val="10"/>
      <color theme="1" tint="0.499984740745262"/>
      <name val="Calibri"/>
      <scheme val="minor"/>
    </font>
    <font>
      <b/>
      <sz val="12"/>
      <color theme="3"/>
      <name val="Calibri"/>
      <scheme val="minor"/>
    </font>
    <font>
      <b/>
      <sz val="10"/>
      <name val="Calibri"/>
      <scheme val="minor"/>
    </font>
    <font>
      <b/>
      <sz val="10"/>
      <color theme="1"/>
      <name val="Calibri"/>
      <scheme val="minor"/>
    </font>
    <font>
      <b/>
      <sz val="10"/>
      <color theme="6" tint="-0.499984740745262"/>
      <name val="Calibri"/>
      <scheme val="minor"/>
    </font>
    <font>
      <sz val="12"/>
      <name val="Calibri"/>
      <scheme val="minor"/>
    </font>
    <font>
      <b/>
      <sz val="16"/>
      <name val="Calibri"/>
      <scheme val="minor"/>
    </font>
    <font>
      <i/>
      <sz val="10"/>
      <color theme="1"/>
      <name val="Calibri"/>
      <scheme val="minor"/>
    </font>
    <font>
      <i/>
      <sz val="10"/>
      <color theme="1" tint="0.34998626667073579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5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9" fontId="0" fillId="0" borderId="0" xfId="1" applyFont="1"/>
    <xf numFmtId="1" fontId="0" fillId="0" borderId="0" xfId="0" applyNumberForma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167" fontId="0" fillId="0" borderId="0" xfId="0" applyNumberFormat="1"/>
    <xf numFmtId="0" fontId="6" fillId="0" borderId="0" xfId="0" applyFont="1" applyAlignment="1">
      <alignment horizontal="right"/>
    </xf>
    <xf numFmtId="164" fontId="7" fillId="0" borderId="0" xfId="0" applyNumberFormat="1" applyFont="1"/>
    <xf numFmtId="0" fontId="6" fillId="0" borderId="0" xfId="0" applyFont="1"/>
    <xf numFmtId="164" fontId="6" fillId="0" borderId="0" xfId="0" applyNumberFormat="1" applyFont="1"/>
    <xf numFmtId="10" fontId="0" fillId="0" borderId="0" xfId="1" applyNumberFormat="1" applyFont="1"/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right"/>
    </xf>
    <xf numFmtId="166" fontId="9" fillId="0" borderId="0" xfId="0" applyNumberFormat="1" applyFont="1"/>
    <xf numFmtId="9" fontId="7" fillId="0" borderId="0" xfId="148" applyFont="1"/>
    <xf numFmtId="166" fontId="0" fillId="0" borderId="0" xfId="125" applyNumberFormat="1" applyFont="1"/>
    <xf numFmtId="9" fontId="10" fillId="0" borderId="0" xfId="148" applyFont="1"/>
    <xf numFmtId="9" fontId="11" fillId="0" borderId="0" xfId="0" applyNumberFormat="1" applyFont="1"/>
    <xf numFmtId="166" fontId="13" fillId="0" borderId="0" xfId="0" applyNumberFormat="1" applyFont="1"/>
    <xf numFmtId="166" fontId="0" fillId="0" borderId="0" xfId="0" applyNumberFormat="1" applyFont="1" applyBorder="1"/>
    <xf numFmtId="0" fontId="0" fillId="0" borderId="0" xfId="0" applyFont="1" applyBorder="1"/>
    <xf numFmtId="5" fontId="14" fillId="0" borderId="0" xfId="0" applyNumberFormat="1" applyFont="1" applyBorder="1"/>
    <xf numFmtId="167" fontId="14" fillId="0" borderId="0" xfId="0" applyNumberFormat="1" applyFont="1" applyBorder="1"/>
    <xf numFmtId="8" fontId="0" fillId="0" borderId="0" xfId="0" applyNumberFormat="1"/>
    <xf numFmtId="0" fontId="7" fillId="0" borderId="0" xfId="0" applyFont="1" applyAlignment="1">
      <alignment horizontal="left"/>
    </xf>
    <xf numFmtId="9" fontId="9" fillId="3" borderId="0" xfId="1" applyFont="1" applyFill="1"/>
    <xf numFmtId="1" fontId="9" fillId="3" borderId="0" xfId="0" applyNumberFormat="1" applyFont="1" applyFill="1"/>
    <xf numFmtId="165" fontId="9" fillId="0" borderId="0" xfId="0" applyNumberFormat="1" applyFont="1"/>
    <xf numFmtId="166" fontId="9" fillId="3" borderId="0" xfId="0" applyNumberFormat="1" applyFont="1" applyFill="1"/>
    <xf numFmtId="164" fontId="16" fillId="3" borderId="0" xfId="0" applyNumberFormat="1" applyFont="1" applyFill="1"/>
    <xf numFmtId="0" fontId="3" fillId="4" borderId="0" xfId="0" applyFont="1" applyFill="1" applyAlignment="1">
      <alignment horizontal="right"/>
    </xf>
    <xf numFmtId="9" fontId="8" fillId="4" borderId="0" xfId="0" applyNumberFormat="1" applyFont="1" applyFill="1" applyAlignment="1">
      <alignment horizontal="right"/>
    </xf>
    <xf numFmtId="9" fontId="3" fillId="4" borderId="0" xfId="0" applyNumberFormat="1" applyFont="1" applyFill="1" applyAlignment="1">
      <alignment horizontal="right"/>
    </xf>
    <xf numFmtId="5" fontId="0" fillId="0" borderId="0" xfId="0" applyNumberFormat="1" applyFont="1" applyBorder="1"/>
    <xf numFmtId="169" fontId="15" fillId="0" borderId="0" xfId="0" applyNumberFormat="1" applyFont="1" applyBorder="1"/>
    <xf numFmtId="0" fontId="6" fillId="0" borderId="0" xfId="0" applyFont="1" applyBorder="1" applyAlignment="1">
      <alignment horizontal="right"/>
    </xf>
    <xf numFmtId="166" fontId="12" fillId="0" borderId="0" xfId="0" applyNumberFormat="1" applyFont="1" applyBorder="1"/>
    <xf numFmtId="168" fontId="12" fillId="0" borderId="0" xfId="0" applyNumberFormat="1" applyFont="1" applyBorder="1" applyAlignment="1">
      <alignment horizontal="right"/>
    </xf>
    <xf numFmtId="9" fontId="3" fillId="4" borderId="0" xfId="0" applyNumberFormat="1" applyFont="1" applyFill="1" applyBorder="1" applyAlignment="1">
      <alignment horizontal="right"/>
    </xf>
    <xf numFmtId="0" fontId="18" fillId="0" borderId="0" xfId="0" applyFont="1"/>
    <xf numFmtId="0" fontId="18" fillId="0" borderId="0" xfId="0" quotePrefix="1" applyFont="1"/>
    <xf numFmtId="0" fontId="18" fillId="0" borderId="0" xfId="0" applyFont="1" applyAlignment="1">
      <alignment horizontal="right"/>
    </xf>
    <xf numFmtId="0" fontId="19" fillId="0" borderId="0" xfId="0" applyFont="1"/>
    <xf numFmtId="0" fontId="17" fillId="0" borderId="0" xfId="0" applyFont="1" applyAlignment="1">
      <alignment horizontal="left"/>
    </xf>
  </cellXfs>
  <cellStyles count="255">
    <cellStyle name="Comma" xfId="125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Normal" xfId="0" builtinId="0"/>
    <cellStyle name="Percent" xfId="1" builtinId="5"/>
    <cellStyle name="Percent 2" xfId="14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125" zoomScaleNormal="125" zoomScalePageLayoutView="125" workbookViewId="0">
      <selection sqref="A1:E1"/>
    </sheetView>
  </sheetViews>
  <sheetFormatPr baseColWidth="10" defaultRowHeight="15" outlineLevelCol="1" x14ac:dyDescent="0"/>
  <cols>
    <col min="1" max="1" width="10.83203125" style="15"/>
    <col min="2" max="2" width="12.83203125" style="15" customWidth="1"/>
    <col min="3" max="3" width="6.83203125" style="16" customWidth="1"/>
    <col min="4" max="7" width="10.83203125" style="15" hidden="1" customWidth="1" outlineLevel="1"/>
    <col min="8" max="8" width="1.83203125" style="16" customWidth="1" collapsed="1"/>
    <col min="9" max="12" width="10.83203125" style="25"/>
    <col min="13" max="13" width="1.83203125" style="16" customWidth="1"/>
    <col min="14" max="14" width="10.83203125" style="44"/>
    <col min="15" max="16384" width="10.83203125" style="15"/>
  </cols>
  <sheetData>
    <row r="1" spans="1:14" ht="20">
      <c r="A1" s="48" t="s">
        <v>40</v>
      </c>
      <c r="B1" s="48"/>
      <c r="C1" s="48"/>
      <c r="D1" s="48"/>
      <c r="E1" s="48"/>
      <c r="H1" s="15"/>
      <c r="I1" s="40" t="s">
        <v>18</v>
      </c>
      <c r="J1" s="41">
        <v>100000</v>
      </c>
      <c r="N1" s="47" t="s">
        <v>38</v>
      </c>
    </row>
    <row r="2" spans="1:14">
      <c r="I2" s="40" t="s">
        <v>37</v>
      </c>
      <c r="J2" s="42">
        <v>2</v>
      </c>
      <c r="K2" s="23">
        <f>($J$1*$J$2)</f>
        <v>200000</v>
      </c>
      <c r="N2" s="47" t="s">
        <v>39</v>
      </c>
    </row>
    <row r="3" spans="1:14">
      <c r="I3" s="42"/>
      <c r="J3" s="42"/>
      <c r="N3" s="47"/>
    </row>
    <row r="4" spans="1:14">
      <c r="A4" s="35" t="s">
        <v>15</v>
      </c>
      <c r="B4" s="35" t="s">
        <v>16</v>
      </c>
      <c r="C4" s="36" t="s">
        <v>17</v>
      </c>
      <c r="D4" s="37">
        <f>I4</f>
        <v>0.03</v>
      </c>
      <c r="E4" s="37">
        <f>J4</f>
        <v>0.05</v>
      </c>
      <c r="F4" s="37">
        <f>K4</f>
        <v>7.0000000000000007E-2</v>
      </c>
      <c r="G4" s="37">
        <f>L4</f>
        <v>0.09</v>
      </c>
      <c r="H4" s="36"/>
      <c r="I4" s="43">
        <v>0.03</v>
      </c>
      <c r="J4" s="43">
        <v>0.05</v>
      </c>
      <c r="K4" s="43">
        <v>7.0000000000000007E-2</v>
      </c>
      <c r="L4" s="43">
        <v>0.09</v>
      </c>
      <c r="M4" s="15"/>
      <c r="N4" s="47" t="s">
        <v>41</v>
      </c>
    </row>
    <row r="5" spans="1:14">
      <c r="A5" s="17">
        <v>1</v>
      </c>
      <c r="B5" s="18">
        <v>200000</v>
      </c>
      <c r="C5" s="19"/>
      <c r="D5" s="20">
        <f t="shared" ref="D5:G14" si="0">$B5*D$4</f>
        <v>6000</v>
      </c>
      <c r="E5" s="20">
        <f t="shared" si="0"/>
        <v>10000</v>
      </c>
      <c r="F5" s="20">
        <f t="shared" si="0"/>
        <v>14000.000000000002</v>
      </c>
      <c r="G5" s="20">
        <f t="shared" si="0"/>
        <v>18000</v>
      </c>
      <c r="H5" s="19"/>
      <c r="I5" s="38">
        <f>-$J1</f>
        <v>-100000</v>
      </c>
      <c r="J5" s="38">
        <f>-$J1</f>
        <v>-100000</v>
      </c>
      <c r="K5" s="38">
        <f>-$J1</f>
        <v>-100000</v>
      </c>
      <c r="L5" s="38">
        <f>-$J1</f>
        <v>-100000</v>
      </c>
      <c r="M5" s="19"/>
      <c r="N5" s="47" t="s">
        <v>21</v>
      </c>
    </row>
    <row r="6" spans="1:14">
      <c r="A6" s="17">
        <v>2</v>
      </c>
      <c r="B6" s="18">
        <v>300000</v>
      </c>
      <c r="C6" s="21">
        <f>B6/B5-1</f>
        <v>0.5</v>
      </c>
      <c r="D6" s="20">
        <f t="shared" si="0"/>
        <v>9000</v>
      </c>
      <c r="E6" s="20">
        <f t="shared" si="0"/>
        <v>15000</v>
      </c>
      <c r="F6" s="20">
        <f t="shared" si="0"/>
        <v>21000.000000000004</v>
      </c>
      <c r="G6" s="20">
        <f t="shared" si="0"/>
        <v>27000</v>
      </c>
      <c r="H6" s="19"/>
      <c r="I6" s="24">
        <f>D5</f>
        <v>6000</v>
      </c>
      <c r="J6" s="24">
        <f>E5</f>
        <v>10000</v>
      </c>
      <c r="K6" s="24">
        <f>F5</f>
        <v>14000.000000000002</v>
      </c>
      <c r="L6" s="24">
        <f>G5</f>
        <v>18000</v>
      </c>
      <c r="M6" s="19"/>
      <c r="N6" s="47"/>
    </row>
    <row r="7" spans="1:14">
      <c r="A7" s="17">
        <v>3</v>
      </c>
      <c r="B7" s="18">
        <v>400000</v>
      </c>
      <c r="C7" s="21">
        <f t="shared" ref="C7:C14" si="1">B7/B6-1</f>
        <v>0.33333333333333326</v>
      </c>
      <c r="D7" s="20">
        <f t="shared" si="0"/>
        <v>12000</v>
      </c>
      <c r="E7" s="20">
        <f t="shared" si="0"/>
        <v>20000</v>
      </c>
      <c r="F7" s="20">
        <f t="shared" si="0"/>
        <v>28000.000000000004</v>
      </c>
      <c r="G7" s="20">
        <f t="shared" si="0"/>
        <v>36000</v>
      </c>
      <c r="H7" s="19"/>
      <c r="I7" s="24">
        <f>IF((SUM(I$6:I6)+D6)=$K$2,D6,IF((SUM(I$6:I6)+D6)&lt;=$K$2,D6,$K$2-(SUM(I$6:I6))))</f>
        <v>9000</v>
      </c>
      <c r="J7" s="24">
        <f>IF((SUM(J$6:J6)+E6)=$K$2,E6,IF((SUM(J$6:J6)+E6)&lt;=$K$2,E6,$K$2-(SUM(J$6:J6))))</f>
        <v>15000</v>
      </c>
      <c r="K7" s="24">
        <f>IF((SUM(K$6:K6)+F6)=$K$2,F6,IF((SUM(K$6:K6)+F6)&lt;=$K$2,F6,$K$2-(SUM(K$6:K6))))</f>
        <v>21000.000000000004</v>
      </c>
      <c r="L7" s="24">
        <f>IF((SUM(L$6:L6)+G6)=$K$2,G6,IF((SUM(L$6:L6)+G6)&lt;=$K$2,G6,$K$2-(SUM(L$6:L6))))</f>
        <v>27000</v>
      </c>
      <c r="M7" s="19"/>
      <c r="N7" s="47" t="s">
        <v>19</v>
      </c>
    </row>
    <row r="8" spans="1:14">
      <c r="A8" s="17">
        <v>4</v>
      </c>
      <c r="B8" s="18">
        <v>500000</v>
      </c>
      <c r="C8" s="21">
        <f t="shared" si="1"/>
        <v>0.25</v>
      </c>
      <c r="D8" s="20">
        <f t="shared" si="0"/>
        <v>15000</v>
      </c>
      <c r="E8" s="20">
        <f t="shared" si="0"/>
        <v>25000</v>
      </c>
      <c r="F8" s="20">
        <f t="shared" si="0"/>
        <v>35000</v>
      </c>
      <c r="G8" s="20">
        <f t="shared" si="0"/>
        <v>45000</v>
      </c>
      <c r="H8" s="22"/>
      <c r="I8" s="24">
        <f>IF((SUM(I$6:I7)+D7)=$K$2,D7,IF((SUM(I$6:I7)+D7)&lt;=$K$2,D7,$K$2-(SUM(I$6:I7))))</f>
        <v>12000</v>
      </c>
      <c r="J8" s="24">
        <f>IF((SUM(J$6:J7)+E7)=$K$2,E7,IF((SUM(J$6:J7)+E7)&lt;=$K$2,E7,$K$2-(SUM(J$6:J7))))</f>
        <v>20000</v>
      </c>
      <c r="K8" s="24">
        <f>IF((SUM(K$6:K7)+F7)=$K$2,F7,IF((SUM(K$6:K7)+F7)&lt;=$K$2,F7,$K$2-(SUM(K$6:K7))))</f>
        <v>28000.000000000004</v>
      </c>
      <c r="L8" s="24">
        <f>IF((SUM(L$6:L7)+G7)=$K$2,G7,IF((SUM(L$6:L7)+G7)&lt;=$K$2,G7,$K$2-(SUM(L$6:L7))))</f>
        <v>36000</v>
      </c>
      <c r="M8" s="22"/>
      <c r="N8" s="47" t="s">
        <v>20</v>
      </c>
    </row>
    <row r="9" spans="1:14">
      <c r="A9" s="17">
        <v>5</v>
      </c>
      <c r="B9" s="18">
        <v>600000</v>
      </c>
      <c r="C9" s="21">
        <f t="shared" si="1"/>
        <v>0.19999999999999996</v>
      </c>
      <c r="D9" s="20">
        <f t="shared" si="0"/>
        <v>18000</v>
      </c>
      <c r="E9" s="20">
        <f t="shared" si="0"/>
        <v>30000</v>
      </c>
      <c r="F9" s="20">
        <f t="shared" si="0"/>
        <v>42000.000000000007</v>
      </c>
      <c r="G9" s="20">
        <f t="shared" si="0"/>
        <v>54000</v>
      </c>
      <c r="H9" s="22"/>
      <c r="I9" s="24">
        <f>IF((SUM(I$6:I8)+D8)=$K$2,D8,IF((SUM(I$6:I8)+D8)&lt;=$K$2,D8,$K$2-(SUM(I$6:I8))))</f>
        <v>15000</v>
      </c>
      <c r="J9" s="24">
        <f>IF((SUM(J$6:J8)+E8)=$K$2,E8,IF((SUM(J$6:J8)+E8)&lt;=$K$2,E8,$K$2-(SUM(J$6:J8))))</f>
        <v>25000</v>
      </c>
      <c r="K9" s="24">
        <f>IF((SUM(K$6:K8)+F8)=$K$2,F8,IF((SUM(K$6:K8)+F8)&lt;=$K$2,F8,$K$2-(SUM(K$6:K8))))</f>
        <v>35000</v>
      </c>
      <c r="L9" s="24">
        <f>IF((SUM(L$6:L8)+G8)=$K$2,G8,IF((SUM(L$6:L8)+G8)&lt;=$K$2,G8,$K$2-(SUM(L$6:L8))))</f>
        <v>45000</v>
      </c>
      <c r="M9" s="22"/>
      <c r="N9" s="47"/>
    </row>
    <row r="10" spans="1:14">
      <c r="A10" s="17">
        <v>6</v>
      </c>
      <c r="B10" s="18">
        <v>700000</v>
      </c>
      <c r="C10" s="21">
        <f t="shared" si="1"/>
        <v>0.16666666666666674</v>
      </c>
      <c r="D10" s="20">
        <f t="shared" si="0"/>
        <v>21000</v>
      </c>
      <c r="E10" s="20">
        <f t="shared" si="0"/>
        <v>35000</v>
      </c>
      <c r="F10" s="20">
        <f t="shared" si="0"/>
        <v>49000.000000000007</v>
      </c>
      <c r="G10" s="20">
        <f t="shared" si="0"/>
        <v>63000</v>
      </c>
      <c r="H10" s="22"/>
      <c r="I10" s="24">
        <f>IF((SUM(I$6:I9)+D9)=$K$2,D9,IF((SUM(I$6:I9)+D9)&lt;=$K$2,D9,$K$2-(SUM(I$6:I9))))</f>
        <v>18000</v>
      </c>
      <c r="J10" s="24">
        <f>IF((SUM(J$6:J9)+E9)=$K$2,E9,IF((SUM(J$6:J9)+E9)&lt;=$K$2,E9,$K$2-(SUM(J$6:J9))))</f>
        <v>30000</v>
      </c>
      <c r="K10" s="24">
        <f>IF((SUM(K$6:K9)+F9)=$K$2,F9,IF((SUM(K$6:K9)+F9)&lt;=$K$2,F9,$K$2-(SUM(K$6:K9))))</f>
        <v>42000.000000000007</v>
      </c>
      <c r="L10" s="24">
        <f>IF((SUM(L$6:L9)+G9)=$K$2,G9,IF((SUM(L$6:L9)+G9)&lt;=$K$2,G9,$K$2-(SUM(L$6:L9))))</f>
        <v>54000</v>
      </c>
      <c r="M10" s="22"/>
      <c r="N10" s="47"/>
    </row>
    <row r="11" spans="1:14">
      <c r="A11" s="17">
        <v>7</v>
      </c>
      <c r="B11" s="18">
        <f t="shared" ref="B11:B14" si="2">B10</f>
        <v>700000</v>
      </c>
      <c r="C11" s="21">
        <f t="shared" si="1"/>
        <v>0</v>
      </c>
      <c r="D11" s="20">
        <f t="shared" si="0"/>
        <v>21000</v>
      </c>
      <c r="E11" s="20">
        <f t="shared" si="0"/>
        <v>35000</v>
      </c>
      <c r="F11" s="20">
        <f t="shared" si="0"/>
        <v>49000.000000000007</v>
      </c>
      <c r="G11" s="20">
        <f t="shared" si="0"/>
        <v>63000</v>
      </c>
      <c r="H11" s="22"/>
      <c r="I11" s="24">
        <f>IF((SUM(I$6:I10)+D10)=$K$2,D10,IF((SUM(I$6:I10)+D10)&lt;=$K$2,D10,$K$2-(SUM(I$6:I10))))</f>
        <v>21000</v>
      </c>
      <c r="J11" s="24">
        <f>IF((SUM(J$6:J10)+E10)=$K$2,E10,IF((SUM(J$6:J10)+E10)&lt;=$K$2,E10,$K$2-(SUM(J$6:J10))))</f>
        <v>35000</v>
      </c>
      <c r="K11" s="24">
        <f>IF((SUM(K$6:K10)+F10)=$K$2,F10,IF((SUM(K$6:K10)+F10)&lt;=$K$2,F10,$K$2-(SUM(K$6:K10))))</f>
        <v>49000.000000000007</v>
      </c>
      <c r="L11" s="24">
        <f>IF((SUM(L$6:L10)+G10)=$K$2,G10,IF((SUM(L$6:L10)+G10)&lt;=$K$2,G10,$K$2-(SUM(L$6:L10))))</f>
        <v>20000</v>
      </c>
      <c r="M11" s="22"/>
      <c r="N11" s="47"/>
    </row>
    <row r="12" spans="1:14">
      <c r="A12" s="17">
        <v>8</v>
      </c>
      <c r="B12" s="18">
        <f t="shared" si="2"/>
        <v>700000</v>
      </c>
      <c r="C12" s="21">
        <f t="shared" si="1"/>
        <v>0</v>
      </c>
      <c r="D12" s="20">
        <f t="shared" si="0"/>
        <v>21000</v>
      </c>
      <c r="E12" s="20">
        <f t="shared" si="0"/>
        <v>35000</v>
      </c>
      <c r="F12" s="20">
        <f t="shared" si="0"/>
        <v>49000.000000000007</v>
      </c>
      <c r="G12" s="20">
        <f t="shared" si="0"/>
        <v>63000</v>
      </c>
      <c r="H12" s="22"/>
      <c r="I12" s="24">
        <f>IF((SUM(I$6:I11)+D11)=$K$2,D11,IF((SUM(I$6:I11)+D11)&lt;=$K$2,D11,$K$2-(SUM(I$6:I11))))</f>
        <v>21000</v>
      </c>
      <c r="J12" s="24">
        <f>IF((SUM(J$6:J11)+E11)=$K$2,E11,IF((SUM(J$6:J11)+E11)&lt;=$K$2,E11,$K$2-(SUM(J$6:J11))))</f>
        <v>35000</v>
      </c>
      <c r="K12" s="24">
        <f>IF((SUM(K$6:K11)+F11)=$K$2,F11,IF((SUM(K$6:K11)+F11)&lt;=$K$2,F11,$K$2-(SUM(K$6:K11))))</f>
        <v>10999.999999999971</v>
      </c>
      <c r="L12" s="24">
        <f>IF((SUM(L$6:L11)+G11)=$K$2,G11,IF((SUM(L$6:L11)+G11)&lt;=$K$2,G11,$K$2-(SUM(L$6:L11))))</f>
        <v>0</v>
      </c>
      <c r="M12" s="22"/>
      <c r="N12" s="47"/>
    </row>
    <row r="13" spans="1:14">
      <c r="A13" s="17">
        <v>9</v>
      </c>
      <c r="B13" s="18">
        <f t="shared" si="2"/>
        <v>700000</v>
      </c>
      <c r="C13" s="21">
        <f t="shared" si="1"/>
        <v>0</v>
      </c>
      <c r="D13" s="20">
        <f t="shared" si="0"/>
        <v>21000</v>
      </c>
      <c r="E13" s="20">
        <f t="shared" si="0"/>
        <v>35000</v>
      </c>
      <c r="F13" s="20">
        <f t="shared" si="0"/>
        <v>49000.000000000007</v>
      </c>
      <c r="G13" s="20">
        <f t="shared" si="0"/>
        <v>63000</v>
      </c>
      <c r="H13" s="22"/>
      <c r="I13" s="24">
        <f>IF((SUM(I$6:I12)+D12)=$K$2,D12,IF((SUM(I$6:I12)+D12)&lt;=$K$2,D12,$K$2-(SUM(I$6:I12))))</f>
        <v>21000</v>
      </c>
      <c r="J13" s="24">
        <f>IF((SUM(J$6:J12)+E12)=$K$2,E12,IF((SUM(J$6:J12)+E12)&lt;=$K$2,E12,$K$2-(SUM(J$6:J12))))</f>
        <v>30000</v>
      </c>
      <c r="K13" s="24">
        <f>IF((SUM(K$6:K12)+F12)=$K$2,F12,IF((SUM(K$6:K12)+F12)&lt;=$K$2,F12,$K$2-(SUM(K$6:K12))))</f>
        <v>0</v>
      </c>
      <c r="L13" s="24">
        <f>IF((SUM(L$6:L12)+G12)=$K$2,G12,IF((SUM(L$6:L12)+G12)&lt;=$K$2,G12,$K$2-(SUM(L$6:L12))))</f>
        <v>0</v>
      </c>
      <c r="M13" s="22"/>
      <c r="N13" s="47"/>
    </row>
    <row r="14" spans="1:14">
      <c r="A14" s="17">
        <v>10</v>
      </c>
      <c r="B14" s="18">
        <f t="shared" si="2"/>
        <v>700000</v>
      </c>
      <c r="C14" s="21">
        <f t="shared" si="1"/>
        <v>0</v>
      </c>
      <c r="D14" s="20">
        <f t="shared" si="0"/>
        <v>21000</v>
      </c>
      <c r="E14" s="20">
        <f t="shared" si="0"/>
        <v>35000</v>
      </c>
      <c r="F14" s="20">
        <f t="shared" si="0"/>
        <v>49000.000000000007</v>
      </c>
      <c r="G14" s="20">
        <f t="shared" si="0"/>
        <v>63000</v>
      </c>
      <c r="H14" s="22"/>
      <c r="I14" s="24">
        <f>IF((SUM(I$6:I13)+D13)=$K$2,D13,IF((SUM(I$6:I13)+D13)&lt;=$K$2,D13,$K$2-(SUM(I$6:I13))))</f>
        <v>21000</v>
      </c>
      <c r="J14" s="24">
        <f>IF((SUM(J$6:J13)+E13)=$K$2,E13,IF((SUM(J$6:J13)+E13)&lt;=$K$2,E13,$K$2-(SUM(J$6:J13))))</f>
        <v>0</v>
      </c>
      <c r="K14" s="24">
        <f>IF((SUM(K$6:K13)+F13)=$K$2,F13,IF((SUM(K$6:K13)+F13)&lt;=$K$2,F13,$K$2-(SUM(K$6:K13))))</f>
        <v>0</v>
      </c>
      <c r="L14" s="24">
        <f>IF((SUM(L$6:L13)+G13)=$K$2,G13,IF((SUM(L$6:L13)+G13)&lt;=$K$2,G13,$K$2-(SUM(L$6:L13))))</f>
        <v>0</v>
      </c>
      <c r="M14" s="22"/>
      <c r="N14" s="47"/>
    </row>
    <row r="15" spans="1:14">
      <c r="I15" s="26">
        <f>SUM(I6:I14)</f>
        <v>144000</v>
      </c>
      <c r="J15" s="26">
        <f>SUM(J6:J14)</f>
        <v>200000</v>
      </c>
      <c r="K15" s="26">
        <f>SUM(K6:K14)</f>
        <v>200000</v>
      </c>
      <c r="L15" s="26">
        <f>SUM(L6:L14)</f>
        <v>200000</v>
      </c>
      <c r="N15" s="47" t="s">
        <v>42</v>
      </c>
    </row>
    <row r="16" spans="1:14">
      <c r="C16" s="15"/>
      <c r="H16" s="15"/>
      <c r="I16" s="27">
        <f>IRR(I5:I14)</f>
        <v>6.6566773296651505E-2</v>
      </c>
      <c r="J16" s="27">
        <f>IRR(J5:J14)</f>
        <v>0.15122779520432794</v>
      </c>
      <c r="K16" s="27">
        <f>IRR(K5:K14)</f>
        <v>0.18614671026121443</v>
      </c>
      <c r="L16" s="27">
        <f>IRR(L5:L14)</f>
        <v>0.21659618292223071</v>
      </c>
      <c r="N16" s="47" t="s">
        <v>43</v>
      </c>
    </row>
    <row r="17" spans="2:14">
      <c r="B17" s="44" t="s">
        <v>45</v>
      </c>
      <c r="C17" s="15"/>
      <c r="H17" s="15"/>
      <c r="I17" s="39">
        <f>I15/-I5</f>
        <v>1.44</v>
      </c>
      <c r="J17" s="39">
        <f>J15/-J5</f>
        <v>2</v>
      </c>
      <c r="K17" s="39">
        <f>K15/-K5</f>
        <v>2</v>
      </c>
      <c r="L17" s="39">
        <f>L15/-L5</f>
        <v>2</v>
      </c>
      <c r="N17" s="47" t="s">
        <v>44</v>
      </c>
    </row>
    <row r="18" spans="2:14">
      <c r="B18" s="44"/>
      <c r="C18" s="46" t="s">
        <v>46</v>
      </c>
      <c r="H18" s="15"/>
    </row>
    <row r="19" spans="2:14">
      <c r="B19" s="44"/>
      <c r="C19" s="15"/>
      <c r="H19" s="15"/>
    </row>
    <row r="20" spans="2:14">
      <c r="B20" s="44"/>
      <c r="C20" s="15"/>
      <c r="H20" s="15"/>
    </row>
    <row r="21" spans="2:14">
      <c r="C21" s="15"/>
      <c r="H21" s="15"/>
    </row>
    <row r="22" spans="2:14">
      <c r="C22" s="15"/>
      <c r="H22" s="15"/>
    </row>
    <row r="23" spans="2:14">
      <c r="C23" s="15"/>
      <c r="H23" s="15"/>
    </row>
    <row r="24" spans="2:14">
      <c r="C24" s="15"/>
      <c r="H24" s="15"/>
    </row>
    <row r="25" spans="2:14">
      <c r="C25" s="15"/>
      <c r="H25" s="15"/>
    </row>
    <row r="26" spans="2:14">
      <c r="C26" s="15"/>
      <c r="H26" s="15"/>
    </row>
    <row r="27" spans="2:14">
      <c r="C27" s="15"/>
      <c r="H27" s="15"/>
    </row>
    <row r="28" spans="2:14">
      <c r="C28" s="15"/>
      <c r="H28" s="15"/>
    </row>
    <row r="29" spans="2:14">
      <c r="C29" s="15"/>
      <c r="H29" s="15"/>
    </row>
    <row r="30" spans="2:14">
      <c r="C30" s="15"/>
      <c r="H30" s="15"/>
      <c r="N30" s="45" t="s">
        <v>22</v>
      </c>
    </row>
    <row r="31" spans="2:14">
      <c r="C31" s="15"/>
      <c r="H31" s="15"/>
      <c r="N31" s="44" t="s">
        <v>23</v>
      </c>
    </row>
    <row r="32" spans="2:14">
      <c r="C32" s="15"/>
      <c r="H32" s="15"/>
      <c r="N32" s="44" t="s">
        <v>24</v>
      </c>
    </row>
    <row r="33" spans="3:8">
      <c r="C33" s="15"/>
      <c r="H33" s="15"/>
    </row>
  </sheetData>
  <mergeCells count="1">
    <mergeCell ref="A1:E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5" zoomScaleNormal="125" zoomScalePageLayoutView="125" workbookViewId="0">
      <selection sqref="A1:B1"/>
    </sheetView>
  </sheetViews>
  <sheetFormatPr baseColWidth="10" defaultRowHeight="15" x14ac:dyDescent="0"/>
  <cols>
    <col min="1" max="1" width="19.6640625" bestFit="1" customWidth="1"/>
    <col min="2" max="6" width="12.83203125" customWidth="1"/>
    <col min="7" max="7" width="11.33203125" bestFit="1" customWidth="1"/>
    <col min="9" max="9" width="1.83203125" customWidth="1"/>
  </cols>
  <sheetData>
    <row r="1" spans="1:10" ht="20">
      <c r="A1" s="48" t="s">
        <v>14</v>
      </c>
      <c r="B1" s="48"/>
    </row>
    <row r="3" spans="1:10">
      <c r="A3" s="4" t="s">
        <v>0</v>
      </c>
      <c r="B3" s="33">
        <v>100000</v>
      </c>
      <c r="C3" s="1"/>
      <c r="J3" s="47" t="s">
        <v>26</v>
      </c>
    </row>
    <row r="4" spans="1:10">
      <c r="A4" s="4" t="s">
        <v>1</v>
      </c>
      <c r="B4" s="30">
        <v>0.1</v>
      </c>
      <c r="C4" s="2"/>
      <c r="J4" s="47" t="s">
        <v>27</v>
      </c>
    </row>
    <row r="5" spans="1:10">
      <c r="A5" s="4" t="s">
        <v>7</v>
      </c>
      <c r="B5" s="31">
        <v>1</v>
      </c>
      <c r="C5" s="2"/>
      <c r="J5" s="47" t="s">
        <v>28</v>
      </c>
    </row>
    <row r="6" spans="1:10">
      <c r="A6" s="4" t="s">
        <v>6</v>
      </c>
      <c r="B6" s="31">
        <v>5</v>
      </c>
      <c r="C6" s="3"/>
      <c r="J6" s="47" t="s">
        <v>29</v>
      </c>
    </row>
    <row r="7" spans="1:10">
      <c r="A7" s="4" t="s">
        <v>31</v>
      </c>
      <c r="B7" s="34">
        <f>IF(C11&lt;=0.01,0,-PMT(B$4/B$5,B$6,B$3))</f>
        <v>26379.748079474539</v>
      </c>
      <c r="C7" s="3"/>
      <c r="J7" s="47" t="s">
        <v>32</v>
      </c>
    </row>
    <row r="8" spans="1:10">
      <c r="B8" s="1"/>
      <c r="C8" s="3"/>
      <c r="J8" s="47"/>
    </row>
    <row r="9" spans="1:10">
      <c r="A9" s="5" t="s">
        <v>8</v>
      </c>
      <c r="B9" s="6" t="s">
        <v>10</v>
      </c>
      <c r="C9" s="6" t="s">
        <v>3</v>
      </c>
      <c r="D9" s="6" t="s">
        <v>5</v>
      </c>
      <c r="E9" s="5" t="s">
        <v>2</v>
      </c>
      <c r="F9" s="5" t="s">
        <v>1</v>
      </c>
      <c r="G9" s="5" t="s">
        <v>4</v>
      </c>
      <c r="H9" s="5" t="s">
        <v>9</v>
      </c>
      <c r="J9" s="47"/>
    </row>
    <row r="10" spans="1:10">
      <c r="A10">
        <v>0</v>
      </c>
      <c r="B10" s="32">
        <v>42736</v>
      </c>
      <c r="C10" s="1">
        <f>B$3</f>
        <v>100000</v>
      </c>
      <c r="D10" s="28">
        <f>-C11</f>
        <v>-100000</v>
      </c>
      <c r="E10" s="1"/>
      <c r="F10" s="1"/>
      <c r="G10" s="1"/>
      <c r="H10" s="29" t="s">
        <v>25</v>
      </c>
      <c r="J10" s="47" t="s">
        <v>30</v>
      </c>
    </row>
    <row r="11" spans="1:10">
      <c r="A11">
        <v>1</v>
      </c>
      <c r="B11" s="8">
        <f t="shared" ref="B11" si="0">DATE(YEAR(B10),MONTH(B10)+(12/B$5),1)</f>
        <v>43101</v>
      </c>
      <c r="C11" s="1">
        <f>C10</f>
        <v>100000</v>
      </c>
      <c r="D11" s="1">
        <f t="shared" ref="D11" si="1">IF(C11&lt;=0.01,0,B$7)</f>
        <v>26379.748079474539</v>
      </c>
      <c r="E11" s="1">
        <f>B7-F11</f>
        <v>16379.748079474539</v>
      </c>
      <c r="F11" s="1">
        <f t="shared" ref="F11:F22" si="2">(B$4/B$5)*C11</f>
        <v>10000</v>
      </c>
      <c r="G11" s="1">
        <f>C11-B7+F11</f>
        <v>83620.251920525465</v>
      </c>
      <c r="H11" s="7"/>
      <c r="J11" s="47" t="s">
        <v>33</v>
      </c>
    </row>
    <row r="12" spans="1:10">
      <c r="A12">
        <v>2</v>
      </c>
      <c r="B12" s="8">
        <f>DATE(YEAR(B11),MONTH(B11)+(12/B$5),1)</f>
        <v>43466</v>
      </c>
      <c r="C12" s="1">
        <f t="shared" ref="C12:C19" si="3">G11</f>
        <v>83620.251920525465</v>
      </c>
      <c r="D12" s="1">
        <f>IF(C12&lt;=0.01,0,B$7)</f>
        <v>26379.748079474539</v>
      </c>
      <c r="E12" s="1">
        <f t="shared" ref="E12:E22" si="4">D12-F12</f>
        <v>18017.722887421995</v>
      </c>
      <c r="F12" s="1">
        <f t="shared" si="2"/>
        <v>8362.0251920525461</v>
      </c>
      <c r="G12" s="1">
        <f t="shared" ref="G12:G19" si="5">C12-D12+F12</f>
        <v>65602.529033103478</v>
      </c>
      <c r="H12" s="7"/>
      <c r="J12" s="47"/>
    </row>
    <row r="13" spans="1:10">
      <c r="A13">
        <v>3</v>
      </c>
      <c r="B13" s="8">
        <f t="shared" ref="B13:B22" si="6">DATE(YEAR(B12),MONTH(B12)+(12/B$5),1)</f>
        <v>43831</v>
      </c>
      <c r="C13" s="1">
        <f t="shared" si="3"/>
        <v>65602.529033103478</v>
      </c>
      <c r="D13" s="1">
        <f t="shared" ref="D13:D22" si="7">IF(C13&lt;=0.01,0,B$7)</f>
        <v>26379.748079474539</v>
      </c>
      <c r="E13" s="1">
        <f t="shared" si="4"/>
        <v>19819.49517616419</v>
      </c>
      <c r="F13" s="1">
        <f t="shared" si="2"/>
        <v>6560.2529033103483</v>
      </c>
      <c r="G13" s="1">
        <f t="shared" si="5"/>
        <v>45783.033856939292</v>
      </c>
      <c r="H13" s="7"/>
      <c r="I13" s="11"/>
      <c r="J13" s="47"/>
    </row>
    <row r="14" spans="1:10">
      <c r="A14">
        <v>4</v>
      </c>
      <c r="B14" s="8">
        <f t="shared" si="6"/>
        <v>44197</v>
      </c>
      <c r="C14" s="1">
        <f t="shared" si="3"/>
        <v>45783.033856939292</v>
      </c>
      <c r="D14" s="1">
        <f t="shared" si="7"/>
        <v>26379.748079474539</v>
      </c>
      <c r="E14" s="1">
        <f t="shared" si="4"/>
        <v>21801.44469378061</v>
      </c>
      <c r="F14" s="1">
        <f t="shared" si="2"/>
        <v>4578.3033856939292</v>
      </c>
      <c r="G14" s="1">
        <f t="shared" si="5"/>
        <v>23981.589163158682</v>
      </c>
      <c r="H14" s="7"/>
      <c r="J14" s="47"/>
    </row>
    <row r="15" spans="1:10">
      <c r="A15">
        <v>5</v>
      </c>
      <c r="B15" s="8">
        <f t="shared" si="6"/>
        <v>44562</v>
      </c>
      <c r="C15" s="1">
        <f t="shared" si="3"/>
        <v>23981.589163158682</v>
      </c>
      <c r="D15" s="1">
        <f t="shared" si="7"/>
        <v>26379.748079474539</v>
      </c>
      <c r="E15" s="1">
        <f t="shared" si="4"/>
        <v>23981.589163158671</v>
      </c>
      <c r="F15" s="1">
        <f t="shared" si="2"/>
        <v>2398.1589163158683</v>
      </c>
      <c r="G15" s="1">
        <f t="shared" si="5"/>
        <v>1.1368683772161603E-11</v>
      </c>
      <c r="J15" s="47"/>
    </row>
    <row r="16" spans="1:10">
      <c r="A16">
        <v>6</v>
      </c>
      <c r="B16" s="8">
        <f t="shared" si="6"/>
        <v>44927</v>
      </c>
      <c r="C16" s="1">
        <f t="shared" si="3"/>
        <v>1.1368683772161603E-11</v>
      </c>
      <c r="D16" s="1">
        <f t="shared" si="7"/>
        <v>0</v>
      </c>
      <c r="E16" s="1">
        <f t="shared" si="4"/>
        <v>-1.1368683772161603E-12</v>
      </c>
      <c r="F16" s="1">
        <f t="shared" si="2"/>
        <v>1.1368683772161603E-12</v>
      </c>
      <c r="G16" s="1">
        <f t="shared" si="5"/>
        <v>1.2505552149377763E-11</v>
      </c>
      <c r="J16" s="47"/>
    </row>
    <row r="17" spans="1:10">
      <c r="A17">
        <v>7</v>
      </c>
      <c r="B17" s="8">
        <f t="shared" si="6"/>
        <v>45292</v>
      </c>
      <c r="C17" s="1">
        <f t="shared" si="3"/>
        <v>1.2505552149377763E-11</v>
      </c>
      <c r="D17" s="1">
        <f t="shared" si="7"/>
        <v>0</v>
      </c>
      <c r="E17" s="1">
        <f t="shared" si="4"/>
        <v>-1.2505552149377763E-12</v>
      </c>
      <c r="F17" s="1">
        <f t="shared" si="2"/>
        <v>1.2505552149377763E-12</v>
      </c>
      <c r="G17" s="1">
        <f t="shared" si="5"/>
        <v>1.375610736431554E-11</v>
      </c>
      <c r="J17" s="47"/>
    </row>
    <row r="18" spans="1:10">
      <c r="A18">
        <v>8</v>
      </c>
      <c r="B18" s="8">
        <f t="shared" si="6"/>
        <v>45658</v>
      </c>
      <c r="C18" s="1">
        <f t="shared" si="3"/>
        <v>1.375610736431554E-11</v>
      </c>
      <c r="D18" s="1">
        <f t="shared" si="7"/>
        <v>0</v>
      </c>
      <c r="E18" s="1">
        <f t="shared" si="4"/>
        <v>-1.3756107364315541E-12</v>
      </c>
      <c r="F18" s="1">
        <f t="shared" si="2"/>
        <v>1.3756107364315541E-12</v>
      </c>
      <c r="G18" s="1">
        <f t="shared" si="5"/>
        <v>1.5131718100747093E-11</v>
      </c>
      <c r="J18" s="47"/>
    </row>
    <row r="19" spans="1:10">
      <c r="A19">
        <v>9</v>
      </c>
      <c r="B19" s="8">
        <f t="shared" si="6"/>
        <v>46023</v>
      </c>
      <c r="C19" s="1">
        <f t="shared" si="3"/>
        <v>1.5131718100747093E-11</v>
      </c>
      <c r="D19" s="1">
        <f t="shared" si="7"/>
        <v>0</v>
      </c>
      <c r="E19" s="1">
        <f t="shared" si="4"/>
        <v>-1.5131718100747094E-12</v>
      </c>
      <c r="F19" s="1">
        <f t="shared" si="2"/>
        <v>1.5131718100747094E-12</v>
      </c>
      <c r="G19" s="1">
        <f t="shared" si="5"/>
        <v>1.6644889910821803E-11</v>
      </c>
      <c r="J19" s="47"/>
    </row>
    <row r="20" spans="1:10">
      <c r="A20">
        <v>10</v>
      </c>
      <c r="B20" s="8">
        <f t="shared" si="6"/>
        <v>46388</v>
      </c>
      <c r="C20" s="1">
        <f t="shared" ref="C20:C22" si="8">G19</f>
        <v>1.6644889910821803E-11</v>
      </c>
      <c r="D20" s="1">
        <f t="shared" si="7"/>
        <v>0</v>
      </c>
      <c r="E20" s="1">
        <f t="shared" si="4"/>
        <v>-1.6644889910821803E-12</v>
      </c>
      <c r="F20" s="1">
        <f t="shared" si="2"/>
        <v>1.6644889910821803E-12</v>
      </c>
      <c r="G20" s="1">
        <f t="shared" ref="G20:G22" si="9">C20-D20+F20</f>
        <v>1.8309378901903982E-11</v>
      </c>
      <c r="J20" s="47"/>
    </row>
    <row r="21" spans="1:10">
      <c r="A21">
        <v>11</v>
      </c>
      <c r="B21" s="8">
        <f t="shared" si="6"/>
        <v>46753</v>
      </c>
      <c r="C21" s="1">
        <f t="shared" si="8"/>
        <v>1.8309378901903982E-11</v>
      </c>
      <c r="D21" s="1">
        <f t="shared" si="7"/>
        <v>0</v>
      </c>
      <c r="E21" s="1">
        <f t="shared" si="4"/>
        <v>-1.8309378901903983E-12</v>
      </c>
      <c r="F21" s="1">
        <f t="shared" si="2"/>
        <v>1.8309378901903983E-12</v>
      </c>
      <c r="G21" s="1">
        <f t="shared" si="9"/>
        <v>2.0140316792094379E-11</v>
      </c>
      <c r="J21" s="47"/>
    </row>
    <row r="22" spans="1:10">
      <c r="A22">
        <v>12</v>
      </c>
      <c r="B22" s="8">
        <f t="shared" si="6"/>
        <v>47119</v>
      </c>
      <c r="C22" s="1">
        <f t="shared" si="8"/>
        <v>2.0140316792094379E-11</v>
      </c>
      <c r="D22" s="1">
        <f t="shared" si="7"/>
        <v>0</v>
      </c>
      <c r="E22" s="1">
        <f t="shared" si="4"/>
        <v>-2.0140316792094379E-12</v>
      </c>
      <c r="F22" s="1">
        <f t="shared" si="2"/>
        <v>2.0140316792094379E-12</v>
      </c>
      <c r="G22" s="1">
        <f t="shared" si="9"/>
        <v>2.2154348471303817E-11</v>
      </c>
      <c r="J22" s="47"/>
    </row>
    <row r="23" spans="1:10">
      <c r="J23" s="47"/>
    </row>
    <row r="24" spans="1:10" s="12" customFormat="1">
      <c r="A24" s="10" t="s">
        <v>11</v>
      </c>
      <c r="D24" s="13">
        <f>SUM(D11:D22)</f>
        <v>131898.74039737269</v>
      </c>
      <c r="E24" s="13">
        <f>SUM(E11:E22)</f>
        <v>100000</v>
      </c>
      <c r="F24" s="13">
        <f>SUM(F11:F22)</f>
        <v>31898.740397372701</v>
      </c>
      <c r="G24" s="13"/>
      <c r="J24" s="47" t="s">
        <v>34</v>
      </c>
    </row>
    <row r="25" spans="1:10">
      <c r="F25" s="14">
        <f>F24/E24</f>
        <v>0.31898740397372699</v>
      </c>
      <c r="G25" t="s">
        <v>12</v>
      </c>
      <c r="J25" s="47" t="s">
        <v>35</v>
      </c>
    </row>
    <row r="26" spans="1:10">
      <c r="F26" s="9">
        <f>IRR(D10:D22)*B5</f>
        <v>0.10000000000000009</v>
      </c>
      <c r="G26" t="s">
        <v>13</v>
      </c>
      <c r="J26" s="47" t="s">
        <v>36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RBF Analysis</vt:lpstr>
      <vt:lpstr>Traditional Loan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Libes</dc:creator>
  <cp:lastModifiedBy>Luni Libes</cp:lastModifiedBy>
  <dcterms:created xsi:type="dcterms:W3CDTF">2014-09-24T04:19:42Z</dcterms:created>
  <dcterms:modified xsi:type="dcterms:W3CDTF">2017-08-03T16:46:51Z</dcterms:modified>
</cp:coreProperties>
</file>